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df842efa77daed6/DOCUME^F1-LAPTOP-LEDSA0DC-56102459/sakura-blog/_private/"/>
    </mc:Choice>
  </mc:AlternateContent>
  <xr:revisionPtr revIDLastSave="0" documentId="8_{FE320F12-62FD-4AE7-AF2A-25AE16956B89}" xr6:coauthVersionLast="47" xr6:coauthVersionMax="47" xr10:uidLastSave="{00000000-0000-0000-0000-000000000000}"/>
  <bookViews>
    <workbookView xWindow="-120" yWindow="-120" windowWidth="29040" windowHeight="15720" xr2:uid="{63B3FD1F-4143-4CB8-A7F5-A11404E10890}"/>
  </bookViews>
  <sheets>
    <sheet name="Summary" sheetId="1" r:id="rId1"/>
    <sheet name="Ledger" sheetId="2" r:id="rId2"/>
    <sheet name="Input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4" i="1" l="1"/>
  <c r="C33" i="1"/>
  <c r="C32" i="1"/>
  <c r="C31" i="1"/>
  <c r="C30" i="1"/>
  <c r="C27" i="1"/>
  <c r="C26" i="1"/>
  <c r="C25" i="1"/>
  <c r="C22" i="1"/>
  <c r="C21" i="1"/>
  <c r="C20" i="1"/>
  <c r="C19" i="1"/>
  <c r="C16" i="1"/>
  <c r="C15" i="1"/>
  <c r="C14" i="1"/>
  <c r="C13" i="1"/>
  <c r="C12" i="1"/>
  <c r="C11" i="1"/>
  <c r="C10" i="1"/>
  <c r="C7" i="1"/>
  <c r="C6" i="1"/>
  <c r="C5" i="1"/>
  <c r="E15" i="2"/>
  <c r="E14" i="2"/>
  <c r="E13" i="2"/>
  <c r="E12" i="2"/>
  <c r="E9" i="2"/>
</calcChain>
</file>

<file path=xl/sharedStrings.xml><?xml version="1.0" encoding="utf-8"?>
<sst xmlns="http://schemas.openxmlformats.org/spreadsheetml/2006/main" count="228" uniqueCount="130">
  <si>
    <t>Inputs</t>
  </si>
  <si>
    <t>Blue text = typed-in values. Black text = formulas. If a fee changes, edit only the blue cells.</t>
  </si>
  <si>
    <t>Card surcharge rate on the visa charge</t>
  </si>
  <si>
    <t>Source: my own payment (a 1.4% surcharge was added to the visa charge)</t>
  </si>
  <si>
    <t>Visa application charge (AUD)</t>
  </si>
  <si>
    <t>Applicant</t>
  </si>
  <si>
    <t>What we paid (lodged 11 May 2026)</t>
  </si>
  <si>
    <t>From 1 July 2026</t>
  </si>
  <si>
    <t>Number in our family</t>
  </si>
  <si>
    <t>Main applicant</t>
  </si>
  <si>
    <t>Adult dependant (18+)</t>
  </si>
  <si>
    <t>Child under 18</t>
  </si>
  <si>
    <t>Source: the 11 May amounts are what we actually paid. The amounts from 1 July 2026 are reported by several migration guides; I could not load the Department of Home Affairs pricing page to confirm them. Check the official page before you lodge.</t>
  </si>
  <si>
    <t>Prepaid fee credited to the visa charge (AUD)</t>
  </si>
  <si>
    <t>A skills assessment for me that we did not use. Paid in March, then counted towards the visa charge in April (a credit, not a cash refund).</t>
  </si>
  <si>
    <t>Ledger: our 491 visa payments</t>
  </si>
  <si>
    <t>Only rows marked Y in "Include in totals" are added up. The yellow cell is a calculated value, so replace it if you have the receipt. Canadian-dollar amounts are mostly from memory.</t>
  </si>
  <si>
    <t>Date</t>
  </si>
  <si>
    <t>Item</t>
  </si>
  <si>
    <t>Category</t>
  </si>
  <si>
    <t>Currency</t>
  </si>
  <si>
    <t>Amount</t>
  </si>
  <si>
    <t>Include in totals (Y/N)</t>
  </si>
  <si>
    <t>Source</t>
  </si>
  <si>
    <t>Note</t>
  </si>
  <si>
    <t>2026-01-14</t>
  </si>
  <si>
    <t>RPL: first payment</t>
  </si>
  <si>
    <t>RPL</t>
  </si>
  <si>
    <t>AUD</t>
  </si>
  <si>
    <t>Y</t>
  </si>
  <si>
    <t>Payment record</t>
  </si>
  <si>
    <t>Sent first because of a daily transfer limit</t>
  </si>
  <si>
    <t>2026-01</t>
  </si>
  <si>
    <t>RPL: balance</t>
  </si>
  <si>
    <t>The invoice was 3,150 in total</t>
  </si>
  <si>
    <t>2026-01-21</t>
  </si>
  <si>
    <t>TRA skills assessment fee (husband)</t>
  </si>
  <si>
    <t>Skills assessment</t>
  </si>
  <si>
    <t>Payment record and official fee</t>
  </si>
  <si>
    <t>Same as the amount on the TRA website</t>
  </si>
  <si>
    <t>Agent fee: husband's skills assessment</t>
  </si>
  <si>
    <t>Agent fees</t>
  </si>
  <si>
    <t>2026-03</t>
  </si>
  <si>
    <t>My own skills assessment (not used)</t>
  </si>
  <si>
    <t>Skills assessment (unused)</t>
  </si>
  <si>
    <t>N</t>
  </si>
  <si>
    <t>The invitation arrived first, so I did not do it. In April the amount was counted towards the visa charge, so it is already inside the visa charge rows below and is not added again here</t>
  </si>
  <si>
    <t>2026-03-22</t>
  </si>
  <si>
    <t>Queensland nomination fee</t>
  </si>
  <si>
    <t>State nomination</t>
  </si>
  <si>
    <t>Paid separately from the agent fee</t>
  </si>
  <si>
    <t>Agent fee: EOI, nomination and visa</t>
  </si>
  <si>
    <t>EOI registered 16 March. Does not include the nomination fee or the visa charge</t>
  </si>
  <si>
    <t>2026-04-22</t>
  </si>
  <si>
    <t>Visa charge: main applicant</t>
  </si>
  <si>
    <t>Visa application charge</t>
  </si>
  <si>
    <t>Charges that applied when we lodged on 11 May</t>
  </si>
  <si>
    <t>Visa charge: adult dependant</t>
  </si>
  <si>
    <t>Visa charge: child under 18</t>
  </si>
  <si>
    <t>Visa charge: surcharge</t>
  </si>
  <si>
    <t>Total 8,715.33 including the 1.4% surcharge</t>
  </si>
  <si>
    <t>2025-11</t>
  </si>
  <si>
    <t>My IELTS</t>
  </si>
  <si>
    <t>English tests</t>
  </si>
  <si>
    <t>CAD</t>
  </si>
  <si>
    <t>Memory</t>
  </si>
  <si>
    <t>Result came on 5 December</t>
  </si>
  <si>
    <t>2026-02-03</t>
  </si>
  <si>
    <t>My PTE booking 1</t>
  </si>
  <si>
    <t>Tax included (324 + 13% HST). Sat on 27 February</t>
  </si>
  <si>
    <t>2026-02-28</t>
  </si>
  <si>
    <t>My PTE booking 2 (coupon)</t>
  </si>
  <si>
    <t>Tax included. Sat on 10 March and passed</t>
  </si>
  <si>
    <t>2025-2026</t>
  </si>
  <si>
    <t>Husband IELTS, first sitting</t>
  </si>
  <si>
    <t>Memory (approximate)</t>
  </si>
  <si>
    <t>We used his first result</t>
  </si>
  <si>
    <t>Husband IELTS, second sitting</t>
  </si>
  <si>
    <t>2026-02-27</t>
  </si>
  <si>
    <t>Husband PTE</t>
  </si>
  <si>
    <t>Estimate (no receipt)</t>
  </si>
  <si>
    <t>Sat on the same day as my first PTE. Assumed to cost about the same as mine</t>
  </si>
  <si>
    <t>2026-05</t>
  </si>
  <si>
    <t>Health examination: me (adult)</t>
  </si>
  <si>
    <t>Health examinations</t>
  </si>
  <si>
    <t>Including tax. The clinic fee was 400 before tax</t>
  </si>
  <si>
    <t>Health examination: husband (adult)</t>
  </si>
  <si>
    <t>Including tax</t>
  </si>
  <si>
    <t>Health examination: son</t>
  </si>
  <si>
    <t>Calculated (not certain)</t>
  </si>
  <si>
    <t>The child fee was 150 before tax, plus the same 10% tax as the adults. Replace it with the receipt amount if you have it</t>
  </si>
  <si>
    <t>2026-04</t>
  </si>
  <si>
    <t>RCMP police checks (husband and me)</t>
  </si>
  <si>
    <t>Police certificates</t>
  </si>
  <si>
    <t>90 plus tax each: 65 plus tax for fingerprinting and 25 for the RCMP fee. The amount here is before tax</t>
  </si>
  <si>
    <t>2026-02</t>
  </si>
  <si>
    <t>Fingerprinting for the Japanese certificate (me)</t>
  </si>
  <si>
    <t>Between 60 and 70</t>
  </si>
  <si>
    <t>First phone consultation with the agent (30 min)</t>
  </si>
  <si>
    <t>Consultation</t>
  </si>
  <si>
    <t>KRW</t>
  </si>
  <si>
    <t>Certain</t>
  </si>
  <si>
    <t>Paid in Korean won</t>
  </si>
  <si>
    <t>What our 491 visa has cost us so far</t>
  </si>
  <si>
    <t>Every amount is calculated from the Ledger sheet. Currencies are not added together.</t>
  </si>
  <si>
    <t>1. Totals by currency</t>
  </si>
  <si>
    <t>Australian dollars</t>
  </si>
  <si>
    <t>Canadian dollars (mostly from memory)</t>
  </si>
  <si>
    <t>Korean won (first phone call)</t>
  </si>
  <si>
    <t>2. Australian dollars by category</t>
  </si>
  <si>
    <t>Total of the categories</t>
  </si>
  <si>
    <t>Check: difference from the currency total (0 means correct)</t>
  </si>
  <si>
    <t>3. Canadian dollars by category (mostly from memory)</t>
  </si>
  <si>
    <t>Total (RCMP before tax; son's health exam is a calculated value)</t>
  </si>
  <si>
    <t>4. How the visa charge was paid (a prepaid fee was credited)</t>
  </si>
  <si>
    <t>Visa charge in full, including the surcharge</t>
  </si>
  <si>
    <t>Credit from the unused assessment fee</t>
  </si>
  <si>
    <t>Paid in cash in April</t>
  </si>
  <si>
    <t>5. The same family after the 1 July 2026 increase (AUD)</t>
  </si>
  <si>
    <t>Charge we paid on 11 May (before surcharge)</t>
  </si>
  <si>
    <t>Charge from 1 July 2026 (before surcharge)</t>
  </si>
  <si>
    <t>Difference</t>
  </si>
  <si>
    <t>Increase</t>
  </si>
  <si>
    <t>Difference including the surcharge (if the rate is the same)</t>
  </si>
  <si>
    <t>Notes</t>
  </si>
  <si>
    <t>- Australian-dollar amounts come from my own payment records. Canadian-dollar amounts are mostly from memory, so they are approximate.</t>
  </si>
  <si>
    <t>- My husband sat the PTE once (on the same day as my first sitting) and the IELTS twice. His amounts are approximate.</t>
  </si>
  <si>
    <t>- Our dog is not included. That is a separate budget.</t>
  </si>
  <si>
    <t>- The amounts from 1 July 2026 are reported by migration guides and were not confirmed on the official Home Affairs page. Check it before you lodge.</t>
  </si>
  <si>
    <t>- This is our own spending, not migration, financial or tax advice. Fees change.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</si>
</sst>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0;\(#,##0.00\);\-"/>
  </numFmts>
  <fonts count="8" x14ac:knownFonts="1">
    <font>
      <sz val="11"/>
      <color theme="1"/>
      <name val="Aptos Narrow"/>
      <family val="2"/>
      <charset val="129"/>
      <scheme val="minor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0"/>
      <color rgb="FF0000FF"/>
      <name val="Arial"/>
      <family val="2"/>
    </font>
    <font>
      <b/>
      <sz val="10"/>
      <color rgb="FFFFFFFF"/>
      <name val="Arial"/>
      <family val="2"/>
    </font>
    <font>
      <sz val="10"/>
      <color rgb="FF008000"/>
      <name val="Arial"/>
      <family val="2"/>
    </font>
    <font>
      <b/>
      <sz val="15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9F0FA"/>
        <bgColor indexed="64"/>
      </patternFill>
    </fill>
    <fill>
      <patternFill patternType="solid">
        <fgColor rgb="FF14213D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0" fontId="3" fillId="0" borderId="0" xfId="0" applyFont="1"/>
    <xf numFmtId="3" fontId="1" fillId="0" borderId="0" xfId="0" applyNumberFormat="1" applyFont="1"/>
    <xf numFmtId="4" fontId="1" fillId="0" borderId="0" xfId="0" applyNumberFormat="1" applyFont="1"/>
    <xf numFmtId="164" fontId="4" fillId="0" borderId="0" xfId="0" applyNumberFormat="1" applyFont="1"/>
    <xf numFmtId="3" fontId="4" fillId="0" borderId="0" xfId="0" applyNumberFormat="1" applyFont="1"/>
    <xf numFmtId="0" fontId="4" fillId="0" borderId="0" xfId="0" applyFont="1"/>
    <xf numFmtId="4" fontId="4" fillId="0" borderId="0" xfId="0" applyNumberFormat="1" applyFont="1"/>
    <xf numFmtId="0" fontId="3" fillId="2" borderId="0" xfId="0" applyFont="1" applyFill="1"/>
    <xf numFmtId="49" fontId="2" fillId="0" borderId="0" xfId="0" applyNumberFormat="1" applyFont="1"/>
    <xf numFmtId="49" fontId="1" fillId="0" borderId="0" xfId="0" applyNumberFormat="1" applyFont="1"/>
    <xf numFmtId="165" fontId="1" fillId="0" borderId="0" xfId="0" applyNumberFormat="1" applyFont="1"/>
    <xf numFmtId="49" fontId="5" fillId="3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49" fontId="1" fillId="0" borderId="1" xfId="0" applyNumberFormat="1" applyFont="1" applyBorder="1" applyAlignment="1">
      <alignment vertical="top"/>
    </xf>
    <xf numFmtId="165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165" fontId="6" fillId="0" borderId="1" xfId="0" applyNumberFormat="1" applyFont="1" applyBorder="1" applyAlignment="1">
      <alignment vertical="top"/>
    </xf>
    <xf numFmtId="165" fontId="1" fillId="4" borderId="1" xfId="0" applyNumberFormat="1" applyFont="1" applyFill="1" applyBorder="1" applyAlignment="1">
      <alignment vertical="top"/>
    </xf>
    <xf numFmtId="4" fontId="6" fillId="0" borderId="0" xfId="0" applyNumberFormat="1" applyFont="1"/>
    <xf numFmtId="0" fontId="7" fillId="0" borderId="0" xfId="0" applyFont="1"/>
    <xf numFmtId="0" fontId="1" fillId="2" borderId="0" xfId="0" applyFont="1" applyFill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5E4E6-6FA8-4C57-AF8B-BF8040999E30}">
  <dimension ref="A1:C41"/>
  <sheetViews>
    <sheetView tabSelected="1" workbookViewId="0"/>
  </sheetViews>
  <sheetFormatPr defaultRowHeight="12.75" x14ac:dyDescent="0.2"/>
  <cols>
    <col min="1" max="1" width="62.625" style="1" customWidth="1"/>
    <col min="2" max="2" width="8.625" style="1" customWidth="1"/>
    <col min="3" max="3" width="18.625" style="1" customWidth="1"/>
    <col min="4" max="16384" width="9" style="1"/>
  </cols>
  <sheetData>
    <row r="1" spans="1:3" ht="19.5" x14ac:dyDescent="0.3">
      <c r="A1" s="24" t="s">
        <v>103</v>
      </c>
    </row>
    <row r="2" spans="1:3" x14ac:dyDescent="0.2">
      <c r="A2" s="1" t="s">
        <v>104</v>
      </c>
    </row>
    <row r="4" spans="1:3" x14ac:dyDescent="0.2">
      <c r="A4" s="11" t="s">
        <v>105</v>
      </c>
      <c r="B4" s="25"/>
      <c r="C4" s="25"/>
    </row>
    <row r="5" spans="1:3" x14ac:dyDescent="0.2">
      <c r="A5" s="1" t="s">
        <v>106</v>
      </c>
      <c r="B5" s="1" t="s">
        <v>28</v>
      </c>
      <c r="C5" s="6">
        <f>SUMIFS(Ledger!$E$5:$E$27,Ledger!$D$5:$D$27,B5,Ledger!$F$5:$F$27,"Y")</f>
        <v>17701.550000000003</v>
      </c>
    </row>
    <row r="6" spans="1:3" x14ac:dyDescent="0.2">
      <c r="A6" s="1" t="s">
        <v>107</v>
      </c>
      <c r="B6" s="1" t="s">
        <v>64</v>
      </c>
      <c r="C6" s="6">
        <f>SUMIFS(Ledger!$E$5:$E$27,Ledger!$D$5:$D$27,B6,Ledger!$F$5:$F$27,"Y")</f>
        <v>3388.36</v>
      </c>
    </row>
    <row r="7" spans="1:3" x14ac:dyDescent="0.2">
      <c r="A7" s="1" t="s">
        <v>108</v>
      </c>
      <c r="B7" s="1" t="s">
        <v>100</v>
      </c>
      <c r="C7" s="5">
        <f>SUMIFS(Ledger!$E$5:$E$27,Ledger!$D$5:$D$27,B7,Ledger!$F$5:$F$27,"Y")</f>
        <v>100000</v>
      </c>
    </row>
    <row r="9" spans="1:3" x14ac:dyDescent="0.2">
      <c r="A9" s="11" t="s">
        <v>109</v>
      </c>
      <c r="B9" s="25"/>
      <c r="C9" s="25"/>
    </row>
    <row r="10" spans="1:3" x14ac:dyDescent="0.2">
      <c r="A10" s="1" t="s">
        <v>55</v>
      </c>
      <c r="B10" s="1" t="s">
        <v>28</v>
      </c>
      <c r="C10" s="14">
        <f>SUMIFS(Ledger!$E$5:$E$27,Ledger!$C$5:$C$27,A10,Ledger!$D$5:$D$27,B10,Ledger!$F$5:$F$27,"Y")</f>
        <v>8715.33</v>
      </c>
    </row>
    <row r="11" spans="1:3" x14ac:dyDescent="0.2">
      <c r="A11" s="1" t="s">
        <v>27</v>
      </c>
      <c r="B11" s="1" t="s">
        <v>28</v>
      </c>
      <c r="C11" s="14">
        <f>SUMIFS(Ledger!$E$5:$E$27,Ledger!$C$5:$C$27,A11,Ledger!$D$5:$D$27,B11,Ledger!$F$5:$F$27,"Y")</f>
        <v>3150</v>
      </c>
    </row>
    <row r="12" spans="1:3" x14ac:dyDescent="0.2">
      <c r="A12" s="1" t="s">
        <v>37</v>
      </c>
      <c r="B12" s="1" t="s">
        <v>28</v>
      </c>
      <c r="C12" s="14">
        <f>SUMIFS(Ledger!$E$5:$E$27,Ledger!$C$5:$C$27,A12,Ledger!$D$5:$D$27,B12,Ledger!$F$5:$F$27,"Y")</f>
        <v>795</v>
      </c>
    </row>
    <row r="13" spans="1:3" x14ac:dyDescent="0.2">
      <c r="A13" s="1" t="s">
        <v>41</v>
      </c>
      <c r="B13" s="1" t="s">
        <v>28</v>
      </c>
      <c r="C13" s="14">
        <f>SUMIFS(Ledger!$E$5:$E$27,Ledger!$C$5:$C$27,A13,Ledger!$D$5:$D$27,B13,Ledger!$F$5:$F$27,"Y")</f>
        <v>4700</v>
      </c>
    </row>
    <row r="14" spans="1:3" x14ac:dyDescent="0.2">
      <c r="A14" s="1" t="s">
        <v>49</v>
      </c>
      <c r="B14" s="1" t="s">
        <v>28</v>
      </c>
      <c r="C14" s="14">
        <f>SUMIFS(Ledger!$E$5:$E$27,Ledger!$C$5:$C$27,A14,Ledger!$D$5:$D$27,B14,Ledger!$F$5:$F$27,"Y")</f>
        <v>341.22</v>
      </c>
    </row>
    <row r="15" spans="1:3" x14ac:dyDescent="0.2">
      <c r="A15" s="4" t="s">
        <v>110</v>
      </c>
      <c r="C15" s="14">
        <f>SUM(C10:C14)</f>
        <v>17701.550000000003</v>
      </c>
    </row>
    <row r="16" spans="1:3" x14ac:dyDescent="0.2">
      <c r="A16" s="1" t="s">
        <v>111</v>
      </c>
      <c r="C16" s="14">
        <f>ROUND(C15-C5,2)</f>
        <v>0</v>
      </c>
    </row>
    <row r="18" spans="1:3" x14ac:dyDescent="0.2">
      <c r="A18" s="11" t="s">
        <v>112</v>
      </c>
      <c r="B18" s="25"/>
      <c r="C18" s="25"/>
    </row>
    <row r="19" spans="1:3" x14ac:dyDescent="0.2">
      <c r="A19" s="1" t="s">
        <v>63</v>
      </c>
      <c r="B19" s="1" t="s">
        <v>64</v>
      </c>
      <c r="C19" s="14">
        <f>SUMIFS(Ledger!$E$5:$E$27,Ledger!$C$5:$C$27,A19,Ledger!$D$5:$D$27,B19,Ledger!$F$5:$F$27,"Y")</f>
        <v>2098.36</v>
      </c>
    </row>
    <row r="20" spans="1:3" x14ac:dyDescent="0.2">
      <c r="A20" s="1" t="s">
        <v>84</v>
      </c>
      <c r="B20" s="1" t="s">
        <v>64</v>
      </c>
      <c r="C20" s="14">
        <f>SUMIFS(Ledger!$E$5:$E$27,Ledger!$C$5:$C$27,A20,Ledger!$D$5:$D$27,B20,Ledger!$F$5:$F$27,"Y")</f>
        <v>1045</v>
      </c>
    </row>
    <row r="21" spans="1:3" x14ac:dyDescent="0.2">
      <c r="A21" s="1" t="s">
        <v>93</v>
      </c>
      <c r="B21" s="1" t="s">
        <v>64</v>
      </c>
      <c r="C21" s="14">
        <f>SUMIFS(Ledger!$E$5:$E$27,Ledger!$C$5:$C$27,A21,Ledger!$D$5:$D$27,B21,Ledger!$F$5:$F$27,"Y")</f>
        <v>245</v>
      </c>
    </row>
    <row r="22" spans="1:3" x14ac:dyDescent="0.2">
      <c r="A22" s="4" t="s">
        <v>113</v>
      </c>
      <c r="C22" s="14">
        <f>SUM(C19:C21)</f>
        <v>3388.36</v>
      </c>
    </row>
    <row r="24" spans="1:3" x14ac:dyDescent="0.2">
      <c r="A24" s="11" t="s">
        <v>114</v>
      </c>
      <c r="B24" s="25"/>
      <c r="C24" s="25"/>
    </row>
    <row r="25" spans="1:3" x14ac:dyDescent="0.2">
      <c r="A25" s="1" t="s">
        <v>115</v>
      </c>
      <c r="C25" s="6">
        <f>C10</f>
        <v>8715.33</v>
      </c>
    </row>
    <row r="26" spans="1:3" x14ac:dyDescent="0.2">
      <c r="A26" s="1" t="s">
        <v>116</v>
      </c>
      <c r="C26" s="23">
        <f>Inputs!C13</f>
        <v>2220</v>
      </c>
    </row>
    <row r="27" spans="1:3" x14ac:dyDescent="0.2">
      <c r="A27" s="1" t="s">
        <v>117</v>
      </c>
      <c r="C27" s="6">
        <f>C25-C26</f>
        <v>6495.33</v>
      </c>
    </row>
    <row r="29" spans="1:3" x14ac:dyDescent="0.2">
      <c r="A29" s="11" t="s">
        <v>118</v>
      </c>
      <c r="B29" s="25"/>
      <c r="C29" s="25"/>
    </row>
    <row r="30" spans="1:3" x14ac:dyDescent="0.2">
      <c r="A30" s="1" t="s">
        <v>119</v>
      </c>
      <c r="C30" s="6">
        <f>SUMPRODUCT(Inputs!C8:C10,Inputs!E8:E10)</f>
        <v>8595</v>
      </c>
    </row>
    <row r="31" spans="1:3" x14ac:dyDescent="0.2">
      <c r="A31" s="1" t="s">
        <v>120</v>
      </c>
      <c r="C31" s="6">
        <f>SUMPRODUCT(Inputs!D8:D10,Inputs!E8:E10)</f>
        <v>10745</v>
      </c>
    </row>
    <row r="32" spans="1:3" x14ac:dyDescent="0.2">
      <c r="A32" s="1" t="s">
        <v>121</v>
      </c>
      <c r="C32" s="6">
        <f>C31-C30</f>
        <v>2150</v>
      </c>
    </row>
    <row r="33" spans="1:3" x14ac:dyDescent="0.2">
      <c r="A33" s="1" t="s">
        <v>122</v>
      </c>
      <c r="C33" s="3">
        <f>IF(C30=0,0,C32/C30)</f>
        <v>0.25014543339150669</v>
      </c>
    </row>
    <row r="34" spans="1:3" x14ac:dyDescent="0.2">
      <c r="A34" s="1" t="s">
        <v>123</v>
      </c>
      <c r="C34" s="6">
        <f>ROUND(C31*(1+Inputs!C4),2)-ROUND(C30*(1+Inputs!C4),2)</f>
        <v>2180.1000000000004</v>
      </c>
    </row>
    <row r="36" spans="1:3" x14ac:dyDescent="0.2">
      <c r="A36" s="4" t="s">
        <v>124</v>
      </c>
    </row>
    <row r="37" spans="1:3" x14ac:dyDescent="0.2">
      <c r="A37" s="1" t="s">
        <v>125</v>
      </c>
    </row>
    <row r="38" spans="1:3" x14ac:dyDescent="0.2">
      <c r="A38" s="1" t="s">
        <v>126</v>
      </c>
    </row>
    <row r="39" spans="1:3" x14ac:dyDescent="0.2">
      <c r="A39" s="1" t="s">
        <v>127</v>
      </c>
    </row>
    <row r="40" spans="1:3" x14ac:dyDescent="0.2">
      <c r="A40" s="1" t="s">
        <v>128</v>
      </c>
    </row>
    <row r="41" spans="1:3" x14ac:dyDescent="0.2">
      <c r="A41" s="1" t="s">
        <v>129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AEFF9-81D5-4BD3-B7E9-72F2628AEE2E}">
  <dimension ref="A1:H27"/>
  <sheetViews>
    <sheetView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2.625" style="13" customWidth="1"/>
    <col min="2" max="2" width="44.625" style="1" customWidth="1"/>
    <col min="3" max="3" width="24.625" style="1" customWidth="1"/>
    <col min="4" max="4" width="10.625" style="1" customWidth="1"/>
    <col min="5" max="5" width="14.625" style="1" customWidth="1"/>
    <col min="6" max="6" width="12.625" style="1" customWidth="1"/>
    <col min="7" max="7" width="26.625" style="1" customWidth="1"/>
    <col min="8" max="8" width="70.625" style="1" customWidth="1"/>
    <col min="9" max="16384" width="9" style="1"/>
  </cols>
  <sheetData>
    <row r="1" spans="1:8" ht="18" x14ac:dyDescent="0.25">
      <c r="A1" s="12" t="s">
        <v>15</v>
      </c>
    </row>
    <row r="2" spans="1:8" x14ac:dyDescent="0.2">
      <c r="A2" s="13" t="s">
        <v>16</v>
      </c>
    </row>
    <row r="4" spans="1:8" ht="32.1" customHeight="1" x14ac:dyDescent="0.2">
      <c r="A4" s="15" t="s">
        <v>17</v>
      </c>
      <c r="B4" s="16" t="s">
        <v>18</v>
      </c>
      <c r="C4" s="16" t="s">
        <v>19</v>
      </c>
      <c r="D4" s="16" t="s">
        <v>20</v>
      </c>
      <c r="E4" s="16" t="s">
        <v>21</v>
      </c>
      <c r="F4" s="16" t="s">
        <v>22</v>
      </c>
      <c r="G4" s="16" t="s">
        <v>23</v>
      </c>
      <c r="H4" s="16" t="s">
        <v>24</v>
      </c>
    </row>
    <row r="5" spans="1:8" ht="63.75" x14ac:dyDescent="0.2">
      <c r="A5" s="17" t="s">
        <v>25</v>
      </c>
      <c r="B5" s="17" t="s">
        <v>26</v>
      </c>
      <c r="C5" s="17" t="s">
        <v>27</v>
      </c>
      <c r="D5" s="17" t="s">
        <v>28</v>
      </c>
      <c r="E5" s="18">
        <v>3000</v>
      </c>
      <c r="F5" s="17" t="s">
        <v>29</v>
      </c>
      <c r="G5" s="17" t="s">
        <v>30</v>
      </c>
      <c r="H5" s="19" t="s">
        <v>31</v>
      </c>
    </row>
    <row r="6" spans="1:8" ht="38.25" x14ac:dyDescent="0.2">
      <c r="A6" s="17" t="s">
        <v>32</v>
      </c>
      <c r="B6" s="17" t="s">
        <v>33</v>
      </c>
      <c r="C6" s="17" t="s">
        <v>27</v>
      </c>
      <c r="D6" s="17" t="s">
        <v>28</v>
      </c>
      <c r="E6" s="18">
        <v>150</v>
      </c>
      <c r="F6" s="17" t="s">
        <v>29</v>
      </c>
      <c r="G6" s="17" t="s">
        <v>30</v>
      </c>
      <c r="H6" s="19" t="s">
        <v>34</v>
      </c>
    </row>
    <row r="7" spans="1:8" ht="51" x14ac:dyDescent="0.2">
      <c r="A7" s="17" t="s">
        <v>35</v>
      </c>
      <c r="B7" s="17" t="s">
        <v>36</v>
      </c>
      <c r="C7" s="17" t="s">
        <v>37</v>
      </c>
      <c r="D7" s="17" t="s">
        <v>28</v>
      </c>
      <c r="E7" s="18">
        <v>795</v>
      </c>
      <c r="F7" s="17" t="s">
        <v>29</v>
      </c>
      <c r="G7" s="17" t="s">
        <v>38</v>
      </c>
      <c r="H7" s="19" t="s">
        <v>39</v>
      </c>
    </row>
    <row r="8" spans="1:8" x14ac:dyDescent="0.2">
      <c r="A8" s="17" t="s">
        <v>35</v>
      </c>
      <c r="B8" s="17" t="s">
        <v>40</v>
      </c>
      <c r="C8" s="17" t="s">
        <v>41</v>
      </c>
      <c r="D8" s="17" t="s">
        <v>28</v>
      </c>
      <c r="E8" s="18">
        <v>2200</v>
      </c>
      <c r="F8" s="17" t="s">
        <v>29</v>
      </c>
      <c r="G8" s="17" t="s">
        <v>30</v>
      </c>
      <c r="H8" s="20"/>
    </row>
    <row r="9" spans="1:8" ht="255" x14ac:dyDescent="0.2">
      <c r="A9" s="17" t="s">
        <v>42</v>
      </c>
      <c r="B9" s="17" t="s">
        <v>43</v>
      </c>
      <c r="C9" s="17" t="s">
        <v>44</v>
      </c>
      <c r="D9" s="17" t="s">
        <v>28</v>
      </c>
      <c r="E9" s="21">
        <f>Inputs!C13</f>
        <v>2220</v>
      </c>
      <c r="F9" s="17" t="s">
        <v>45</v>
      </c>
      <c r="G9" s="17" t="s">
        <v>30</v>
      </c>
      <c r="H9" s="19" t="s">
        <v>46</v>
      </c>
    </row>
    <row r="10" spans="1:8" ht="51" x14ac:dyDescent="0.2">
      <c r="A10" s="17" t="s">
        <v>47</v>
      </c>
      <c r="B10" s="17" t="s">
        <v>48</v>
      </c>
      <c r="C10" s="17" t="s">
        <v>49</v>
      </c>
      <c r="D10" s="17" t="s">
        <v>28</v>
      </c>
      <c r="E10" s="18">
        <v>341.22</v>
      </c>
      <c r="F10" s="17" t="s">
        <v>29</v>
      </c>
      <c r="G10" s="17" t="s">
        <v>30</v>
      </c>
      <c r="H10" s="19" t="s">
        <v>50</v>
      </c>
    </row>
    <row r="11" spans="1:8" ht="102" x14ac:dyDescent="0.2">
      <c r="A11" s="17" t="s">
        <v>42</v>
      </c>
      <c r="B11" s="17" t="s">
        <v>51</v>
      </c>
      <c r="C11" s="17" t="s">
        <v>41</v>
      </c>
      <c r="D11" s="17" t="s">
        <v>28</v>
      </c>
      <c r="E11" s="18">
        <v>2500</v>
      </c>
      <c r="F11" s="17" t="s">
        <v>29</v>
      </c>
      <c r="G11" s="17" t="s">
        <v>30</v>
      </c>
      <c r="H11" s="19" t="s">
        <v>52</v>
      </c>
    </row>
    <row r="12" spans="1:8" ht="76.5" x14ac:dyDescent="0.2">
      <c r="A12" s="17" t="s">
        <v>53</v>
      </c>
      <c r="B12" s="17" t="s">
        <v>54</v>
      </c>
      <c r="C12" s="17" t="s">
        <v>55</v>
      </c>
      <c r="D12" s="17" t="s">
        <v>28</v>
      </c>
      <c r="E12" s="21">
        <f>Inputs!C8*Inputs!E8</f>
        <v>4910</v>
      </c>
      <c r="F12" s="17" t="s">
        <v>29</v>
      </c>
      <c r="G12" s="17" t="s">
        <v>30</v>
      </c>
      <c r="H12" s="19" t="s">
        <v>56</v>
      </c>
    </row>
    <row r="13" spans="1:8" x14ac:dyDescent="0.2">
      <c r="A13" s="17" t="s">
        <v>53</v>
      </c>
      <c r="B13" s="17" t="s">
        <v>57</v>
      </c>
      <c r="C13" s="17" t="s">
        <v>55</v>
      </c>
      <c r="D13" s="17" t="s">
        <v>28</v>
      </c>
      <c r="E13" s="21">
        <f>Inputs!C9*Inputs!E9</f>
        <v>2455</v>
      </c>
      <c r="F13" s="17" t="s">
        <v>29</v>
      </c>
      <c r="G13" s="17" t="s">
        <v>30</v>
      </c>
      <c r="H13" s="20"/>
    </row>
    <row r="14" spans="1:8" x14ac:dyDescent="0.2">
      <c r="A14" s="17" t="s">
        <v>53</v>
      </c>
      <c r="B14" s="17" t="s">
        <v>58</v>
      </c>
      <c r="C14" s="17" t="s">
        <v>55</v>
      </c>
      <c r="D14" s="17" t="s">
        <v>28</v>
      </c>
      <c r="E14" s="21">
        <f>Inputs!C10*Inputs!E10</f>
        <v>1230</v>
      </c>
      <c r="F14" s="17" t="s">
        <v>29</v>
      </c>
      <c r="G14" s="17" t="s">
        <v>30</v>
      </c>
      <c r="H14" s="20"/>
    </row>
    <row r="15" spans="1:8" ht="63.75" x14ac:dyDescent="0.2">
      <c r="A15" s="17" t="s">
        <v>53</v>
      </c>
      <c r="B15" s="17" t="s">
        <v>59</v>
      </c>
      <c r="C15" s="17" t="s">
        <v>55</v>
      </c>
      <c r="D15" s="17" t="s">
        <v>28</v>
      </c>
      <c r="E15" s="18">
        <f>ROUND(SUM(E12:E14)*Inputs!C4,2)</f>
        <v>120.33</v>
      </c>
      <c r="F15" s="17" t="s">
        <v>29</v>
      </c>
      <c r="G15" s="17" t="s">
        <v>30</v>
      </c>
      <c r="H15" s="19" t="s">
        <v>60</v>
      </c>
    </row>
    <row r="16" spans="1:8" ht="38.25" x14ac:dyDescent="0.2">
      <c r="A16" s="17" t="s">
        <v>61</v>
      </c>
      <c r="B16" s="17" t="s">
        <v>62</v>
      </c>
      <c r="C16" s="17" t="s">
        <v>63</v>
      </c>
      <c r="D16" s="17" t="s">
        <v>64</v>
      </c>
      <c r="E16" s="18">
        <v>340</v>
      </c>
      <c r="F16" s="17" t="s">
        <v>29</v>
      </c>
      <c r="G16" s="17" t="s">
        <v>65</v>
      </c>
      <c r="H16" s="19" t="s">
        <v>66</v>
      </c>
    </row>
    <row r="17" spans="1:8" ht="76.5" x14ac:dyDescent="0.2">
      <c r="A17" s="17" t="s">
        <v>67</v>
      </c>
      <c r="B17" s="17" t="s">
        <v>68</v>
      </c>
      <c r="C17" s="17" t="s">
        <v>63</v>
      </c>
      <c r="D17" s="17" t="s">
        <v>64</v>
      </c>
      <c r="E17" s="18">
        <v>366.12</v>
      </c>
      <c r="F17" s="17" t="s">
        <v>29</v>
      </c>
      <c r="G17" s="17" t="s">
        <v>30</v>
      </c>
      <c r="H17" s="19" t="s">
        <v>69</v>
      </c>
    </row>
    <row r="18" spans="1:8" ht="63.75" x14ac:dyDescent="0.2">
      <c r="A18" s="17" t="s">
        <v>70</v>
      </c>
      <c r="B18" s="17" t="s">
        <v>71</v>
      </c>
      <c r="C18" s="17" t="s">
        <v>63</v>
      </c>
      <c r="D18" s="17" t="s">
        <v>64</v>
      </c>
      <c r="E18" s="18">
        <v>366.12</v>
      </c>
      <c r="F18" s="17" t="s">
        <v>29</v>
      </c>
      <c r="G18" s="17" t="s">
        <v>30</v>
      </c>
      <c r="H18" s="19" t="s">
        <v>72</v>
      </c>
    </row>
    <row r="19" spans="1:8" ht="38.25" x14ac:dyDescent="0.2">
      <c r="A19" s="17" t="s">
        <v>73</v>
      </c>
      <c r="B19" s="17" t="s">
        <v>74</v>
      </c>
      <c r="C19" s="17" t="s">
        <v>63</v>
      </c>
      <c r="D19" s="17" t="s">
        <v>64</v>
      </c>
      <c r="E19" s="18">
        <v>330</v>
      </c>
      <c r="F19" s="17" t="s">
        <v>29</v>
      </c>
      <c r="G19" s="17" t="s">
        <v>75</v>
      </c>
      <c r="H19" s="19" t="s">
        <v>76</v>
      </c>
    </row>
    <row r="20" spans="1:8" x14ac:dyDescent="0.2">
      <c r="A20" s="17" t="s">
        <v>73</v>
      </c>
      <c r="B20" s="17" t="s">
        <v>77</v>
      </c>
      <c r="C20" s="17" t="s">
        <v>63</v>
      </c>
      <c r="D20" s="17" t="s">
        <v>64</v>
      </c>
      <c r="E20" s="18">
        <v>330</v>
      </c>
      <c r="F20" s="17" t="s">
        <v>29</v>
      </c>
      <c r="G20" s="17" t="s">
        <v>75</v>
      </c>
      <c r="H20" s="20"/>
    </row>
    <row r="21" spans="1:8" ht="114.75" x14ac:dyDescent="0.2">
      <c r="A21" s="17" t="s">
        <v>78</v>
      </c>
      <c r="B21" s="17" t="s">
        <v>79</v>
      </c>
      <c r="C21" s="17" t="s">
        <v>63</v>
      </c>
      <c r="D21" s="17" t="s">
        <v>64</v>
      </c>
      <c r="E21" s="18">
        <v>366.12</v>
      </c>
      <c r="F21" s="17" t="s">
        <v>29</v>
      </c>
      <c r="G21" s="17" t="s">
        <v>80</v>
      </c>
      <c r="H21" s="19" t="s">
        <v>81</v>
      </c>
    </row>
    <row r="22" spans="1:8" ht="63.75" x14ac:dyDescent="0.2">
      <c r="A22" s="17" t="s">
        <v>82</v>
      </c>
      <c r="B22" s="17" t="s">
        <v>83</v>
      </c>
      <c r="C22" s="17" t="s">
        <v>84</v>
      </c>
      <c r="D22" s="17" t="s">
        <v>64</v>
      </c>
      <c r="E22" s="18">
        <v>440</v>
      </c>
      <c r="F22" s="17" t="s">
        <v>29</v>
      </c>
      <c r="G22" s="17" t="s">
        <v>65</v>
      </c>
      <c r="H22" s="19" t="s">
        <v>85</v>
      </c>
    </row>
    <row r="23" spans="1:8" ht="25.5" x14ac:dyDescent="0.2">
      <c r="A23" s="17" t="s">
        <v>82</v>
      </c>
      <c r="B23" s="17" t="s">
        <v>86</v>
      </c>
      <c r="C23" s="17" t="s">
        <v>84</v>
      </c>
      <c r="D23" s="17" t="s">
        <v>64</v>
      </c>
      <c r="E23" s="18">
        <v>440</v>
      </c>
      <c r="F23" s="17" t="s">
        <v>29</v>
      </c>
      <c r="G23" s="17" t="s">
        <v>65</v>
      </c>
      <c r="H23" s="19" t="s">
        <v>87</v>
      </c>
    </row>
    <row r="24" spans="1:8" ht="165.75" x14ac:dyDescent="0.2">
      <c r="A24" s="17" t="s">
        <v>82</v>
      </c>
      <c r="B24" s="17" t="s">
        <v>88</v>
      </c>
      <c r="C24" s="17" t="s">
        <v>84</v>
      </c>
      <c r="D24" s="17" t="s">
        <v>64</v>
      </c>
      <c r="E24" s="22">
        <v>165</v>
      </c>
      <c r="F24" s="17" t="s">
        <v>29</v>
      </c>
      <c r="G24" s="17" t="s">
        <v>89</v>
      </c>
      <c r="H24" s="19" t="s">
        <v>90</v>
      </c>
    </row>
    <row r="25" spans="1:8" ht="140.25" x14ac:dyDescent="0.2">
      <c r="A25" s="17" t="s">
        <v>91</v>
      </c>
      <c r="B25" s="17" t="s">
        <v>92</v>
      </c>
      <c r="C25" s="17" t="s">
        <v>93</v>
      </c>
      <c r="D25" s="17" t="s">
        <v>64</v>
      </c>
      <c r="E25" s="18">
        <v>180</v>
      </c>
      <c r="F25" s="17" t="s">
        <v>29</v>
      </c>
      <c r="G25" s="17" t="s">
        <v>65</v>
      </c>
      <c r="H25" s="19" t="s">
        <v>94</v>
      </c>
    </row>
    <row r="26" spans="1:8" ht="25.5" x14ac:dyDescent="0.2">
      <c r="A26" s="17" t="s">
        <v>95</v>
      </c>
      <c r="B26" s="17" t="s">
        <v>96</v>
      </c>
      <c r="C26" s="17" t="s">
        <v>93</v>
      </c>
      <c r="D26" s="17" t="s">
        <v>64</v>
      </c>
      <c r="E26" s="18">
        <v>65</v>
      </c>
      <c r="F26" s="17" t="s">
        <v>29</v>
      </c>
      <c r="G26" s="17" t="s">
        <v>75</v>
      </c>
      <c r="H26" s="19" t="s">
        <v>97</v>
      </c>
    </row>
    <row r="27" spans="1:8" ht="38.25" x14ac:dyDescent="0.2">
      <c r="A27" s="17" t="s">
        <v>32</v>
      </c>
      <c r="B27" s="17" t="s">
        <v>98</v>
      </c>
      <c r="C27" s="17" t="s">
        <v>99</v>
      </c>
      <c r="D27" s="17" t="s">
        <v>100</v>
      </c>
      <c r="E27" s="18">
        <v>100000</v>
      </c>
      <c r="F27" s="17" t="s">
        <v>29</v>
      </c>
      <c r="G27" s="17" t="s">
        <v>101</v>
      </c>
      <c r="H27" s="19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03CB8-53EC-4697-AD67-4C60B7E70220}">
  <dimension ref="A1:E13"/>
  <sheetViews>
    <sheetView workbookViewId="0"/>
  </sheetViews>
  <sheetFormatPr defaultRowHeight="12.75" x14ac:dyDescent="0.2"/>
  <cols>
    <col min="1" max="1" width="46.625" style="1" customWidth="1"/>
    <col min="2" max="2" width="2.625" style="1" customWidth="1"/>
    <col min="3" max="3" width="30.625" style="1" customWidth="1"/>
    <col min="4" max="4" width="18.625" style="1" customWidth="1"/>
    <col min="5" max="5" width="22.625" style="1" customWidth="1"/>
    <col min="6" max="16384" width="9" style="1"/>
  </cols>
  <sheetData>
    <row r="1" spans="1:5" ht="18" x14ac:dyDescent="0.25">
      <c r="A1" s="2" t="s">
        <v>0</v>
      </c>
    </row>
    <row r="2" spans="1:5" x14ac:dyDescent="0.2">
      <c r="A2" s="1" t="s">
        <v>1</v>
      </c>
    </row>
    <row r="4" spans="1:5" x14ac:dyDescent="0.2">
      <c r="A4" s="1" t="s">
        <v>2</v>
      </c>
      <c r="C4" s="7">
        <v>1.4E-2</v>
      </c>
      <c r="D4" s="1" t="s">
        <v>3</v>
      </c>
    </row>
    <row r="6" spans="1:5" x14ac:dyDescent="0.2">
      <c r="A6" s="4" t="s">
        <v>4</v>
      </c>
    </row>
    <row r="7" spans="1:5" x14ac:dyDescent="0.2">
      <c r="A7" s="11" t="s">
        <v>5</v>
      </c>
      <c r="B7" s="11"/>
      <c r="C7" s="11" t="s">
        <v>6</v>
      </c>
      <c r="D7" s="11" t="s">
        <v>7</v>
      </c>
      <c r="E7" s="11" t="s">
        <v>8</v>
      </c>
    </row>
    <row r="8" spans="1:5" x14ac:dyDescent="0.2">
      <c r="A8" s="1" t="s">
        <v>9</v>
      </c>
      <c r="C8" s="8">
        <v>4910</v>
      </c>
      <c r="D8" s="8">
        <v>6140</v>
      </c>
      <c r="E8" s="9">
        <v>1</v>
      </c>
    </row>
    <row r="9" spans="1:5" x14ac:dyDescent="0.2">
      <c r="A9" s="1" t="s">
        <v>10</v>
      </c>
      <c r="C9" s="8">
        <v>2455</v>
      </c>
      <c r="D9" s="8">
        <v>3070</v>
      </c>
      <c r="E9" s="9">
        <v>1</v>
      </c>
    </row>
    <row r="10" spans="1:5" x14ac:dyDescent="0.2">
      <c r="A10" s="1" t="s">
        <v>11</v>
      </c>
      <c r="C10" s="8">
        <v>1230</v>
      </c>
      <c r="D10" s="8">
        <v>1535</v>
      </c>
      <c r="E10" s="9">
        <v>1</v>
      </c>
    </row>
    <row r="11" spans="1:5" x14ac:dyDescent="0.2">
      <c r="A11" s="1" t="s">
        <v>12</v>
      </c>
    </row>
    <row r="13" spans="1:5" x14ac:dyDescent="0.2">
      <c r="A13" s="1" t="s">
        <v>13</v>
      </c>
      <c r="C13" s="10">
        <v>2220</v>
      </c>
      <c r="D13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Summary</vt:lpstr>
      <vt:lpstr>Ledger</vt:lpstr>
      <vt:lpstr>Inputs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jeongsuk jang</dc:creator>
  <cp:lastModifiedBy>jeongsuk jang</cp:lastModifiedBy>
  <dcterms:created xsi:type="dcterms:W3CDTF">2026-10-26T12:51:09Z</dcterms:created>
  <dcterms:modified xsi:type="dcterms:W3CDTF">2026-10-26T12:51:11Z</dcterms:modified>
</cp:coreProperties>
</file>